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<sst xmlns="http://schemas.openxmlformats.org/spreadsheetml/2006/main" count="168" uniqueCount="113">
  <si>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</si>
  <si>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</si>
  <si>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</si>
  <si>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</si>
  <si>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</si>
  <si>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</si>
  <si>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</si>
  <si>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</si>
  <si>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</si>
  <si>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</si>
  <si>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</si>
  <si>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</si>
  <si>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</si>
  <si>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</si>
  <si>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</si>
  <si>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</si>
  <si>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</si>
  <si>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</si>
  <si>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</si>
  <si>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</si>
  <si>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</si>
  <si>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</si>
  <si>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</si>
  <si>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</si>
  <si>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</si>
  <si>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</si>
  <si>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</si>
  <si>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</si>
  <si>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</si>
  <si>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</si>
  <si>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</si>
  <si>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</si>
  <si>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</si>
  <si>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</si>
  <si>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</si>
  <si>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</si>
  <si>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</si>
  <si>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</si>
  <si>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</si>
  <si>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</si>
  <si>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</si>
  <si>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</si>
  <si>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</si>
  <si>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</si>
  <si>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</si>
  <si>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</si>
  <si>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</si>
  <si>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</si>
  <si>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</si>
  <si>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</si>
  <si>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</si>
  <si>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</si>
  <si>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</si>
  <si>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</si>
  <si>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</si>
  <si>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</si>
  <si>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</si>
  <si>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</si>
  <si>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</si>
  <si>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</si>
  <si>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</si>
  <si>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</si>
  <si>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</si>
  <si>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</si>
  <si>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</si>
  <si>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</si>
  <si>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</si>
  <si>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</si>
  <si>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</si>
  <si>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</si>
  <si>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</si>
  <si>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</si>
  <si>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</si>
  <si>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</si>
  <si>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</si>
  <si>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</si>
  <si>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</si>
  <si>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</si>
  <si>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</si>
  <si>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</si>
  <si>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</si>
  <si>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</si>
  <si>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</si>
  <si>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</si>
  <si>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</si>
  <si>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</si>
  <si>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</si>
  <si>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</si>
  <si>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</si>
  <si>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</si>
  <si>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</si>
  <si>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</si>
  <si>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</si>
  <si>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</si>
  <si>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</si>
  <si>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</si>
  <si>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</si>
  <si>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</si>
  <si>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</si>
  <si>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</si>
  <si>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</si>
  <si>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</si>
  <si>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</si>
  <si>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</si>
  <si>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</si>
  <si>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</si>
  <si>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</si>
  <si>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</si>
  <si>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</si>
  <si>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8 місяців тис.грн.</t>
  </si>
  <si>
    <t>Відхилення від  плану 8 місяців, тис.грн.</t>
  </si>
  <si>
    <t>Відсоток виконання  плану 8 місяців</t>
  </si>
  <si>
    <t>Аналіз використання коштів загального фонду міського бюджету станом на 28.08.2019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</si>
</sst>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142068.99999999997</c:v>
                </c:pt>
              </c:numCache>
            </c:numRef>
          </c:val>
          <c:shape val="box"/>
        </c:ser>
        <c:shape val="box"/>
        <c:axId val="62845452"/>
        <c:axId val="28738157"/>
      </c:bar3D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5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582191.3</c:v>
                </c:pt>
              </c:numCache>
            </c:numRef>
          </c:val>
          <c:shape val="box"/>
        </c:ser>
        <c:shape val="box"/>
        <c:axId val="57316822"/>
        <c:axId val="46089351"/>
      </c:bar3D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264820.63699999993</c:v>
                </c:pt>
              </c:numCache>
            </c:numRef>
          </c:val>
          <c:shape val="box"/>
        </c:ser>
        <c:shape val="box"/>
        <c:axId val="12150976"/>
        <c:axId val="42249921"/>
      </c:bar3D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16327.099999999999</c:v>
                </c:pt>
              </c:numCache>
            </c:numRef>
          </c:val>
          <c:shape val="box"/>
        </c:ser>
        <c:shape val="box"/>
        <c:axId val="44704970"/>
        <c:axId val="66800411"/>
      </c:bar3D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27829.700000000008</c:v>
                </c:pt>
              </c:numCache>
            </c:numRef>
          </c:val>
          <c:shape val="box"/>
        </c:ser>
        <c:shape val="box"/>
        <c:axId val="64332788"/>
        <c:axId val="42124181"/>
      </c:bar3D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24181"/>
        <c:crosses val="autoZero"/>
        <c:auto val="1"/>
        <c:lblOffset val="100"/>
        <c:tickLblSkip val="2"/>
        <c:noMultiLvlLbl val="0"/>
      </c:catAx>
      <c:valAx>
        <c:axId val="4212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6911.599999999998</c:v>
                </c:pt>
              </c:numCache>
            </c:numRef>
          </c:val>
          <c:shape val="box"/>
        </c:ser>
        <c:shape val="box"/>
        <c:axId val="43573310"/>
        <c:axId val="56615471"/>
      </c:bar3D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15471"/>
        <c:crosses val="autoZero"/>
        <c:auto val="1"/>
        <c:lblOffset val="100"/>
        <c:tickLblSkip val="1"/>
        <c:noMultiLvlLbl val="0"/>
      </c:catAx>
      <c:valAx>
        <c:axId val="56615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3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65985.79999999999</c:v>
                </c:pt>
              </c:numCache>
            </c:numRef>
          </c:val>
          <c:shape val="box"/>
        </c:ser>
        <c:shape val="box"/>
        <c:axId val="39777192"/>
        <c:axId val="22450409"/>
      </c:bar3D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50409"/>
        <c:crosses val="autoZero"/>
        <c:auto val="1"/>
        <c:lblOffset val="100"/>
        <c:tickLblSkip val="1"/>
        <c:noMultiLvlLbl val="0"/>
      </c:catAx>
      <c:valAx>
        <c:axId val="22450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582191.3</c:v>
                </c:pt>
                <c:pt idx="1">
                  <c:v>264820.63699999993</c:v>
                </c:pt>
                <c:pt idx="2">
                  <c:v>16327.099999999999</c:v>
                </c:pt>
                <c:pt idx="3">
                  <c:v>27829.700000000008</c:v>
                </c:pt>
                <c:pt idx="4">
                  <c:v>6911.599999999998</c:v>
                </c:pt>
                <c:pt idx="5">
                  <c:v>142068.99999999997</c:v>
                </c:pt>
                <c:pt idx="6">
                  <c:v>65985.79999999999</c:v>
                </c:pt>
              </c:numCache>
            </c:numRef>
          </c:val>
          <c:shape val="box"/>
        </c:ser>
        <c:shape val="box"/>
        <c:axId val="727090"/>
        <c:axId val="6543811"/>
      </c:bar3DChart>
      <c:catAx>
        <c:axId val="72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3811"/>
        <c:crosses val="autoZero"/>
        <c:auto val="1"/>
        <c:lblOffset val="100"/>
        <c:tickLblSkip val="1"/>
        <c:noMultiLvlLbl val="0"/>
      </c:catAx>
      <c:valAx>
        <c:axId val="6543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48087.700000000004</c:v>
                </c:pt>
                <c:pt idx="3">
                  <c:v>87421.40000000002</c:v>
                </c:pt>
                <c:pt idx="4">
                  <c:v>122.9</c:v>
                </c:pt>
                <c:pt idx="5">
                  <c:v>1251651.2000000002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657538.1</c:v>
                </c:pt>
                <c:pt idx="1">
                  <c:v>64376.49999999996</c:v>
                </c:pt>
                <c:pt idx="2">
                  <c:v>28351.800000000003</c:v>
                </c:pt>
                <c:pt idx="3">
                  <c:v>51468.66000000001</c:v>
                </c:pt>
                <c:pt idx="4">
                  <c:v>38.49999999999999</c:v>
                </c:pt>
                <c:pt idx="5">
                  <c:v>747444.2967899998</c:v>
                </c:pt>
              </c:numCache>
            </c:numRef>
          </c:val>
          <c:shape val="box"/>
        </c:ser>
        <c:shape val="box"/>
        <c:axId val="58894300"/>
        <c:axId val="60286653"/>
      </c:bar3D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4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109</v>
      </c>
      <c r="C3" s="174" t="s">
        <v>103</v>
      </c>
      <c r="D3" s="174" t="s">
        <v>20</v>
      </c>
      <c r="E3" s="174" t="s">
        <v>19</v>
      </c>
      <c r="F3" s="174" t="s">
        <v>111</v>
      </c>
      <c r="G3" s="174" t="s">
        <v>105</v>
      </c>
      <c r="H3" s="174" t="s">
        <v>110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579162.3-150.8+52205.4-1300-900</f>
        <v>629016.9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</f>
        <v>582191.3</v>
      </c>
      <c r="E6" s="3">
        <f>D6/D156*100</f>
        <v>37.5796920651501</v>
      </c>
      <c r="F6" s="3">
        <f>D6/B6*100</f>
        <v>92.55574850214676</v>
      </c>
      <c r="G6" s="3">
        <f aca="true" t="shared" si="0" ref="G6:G43">D6/C6*100</f>
        <v>63.14862536339204</v>
      </c>
      <c r="H6" s="36">
        <f aca="true" t="shared" si="1" ref="H6:H12">B6-D6</f>
        <v>46825.59999999998</v>
      </c>
      <c r="I6" s="36">
        <f aca="true" t="shared" si="2" ref="I6:I43">C6-D6</f>
        <v>339746.8999999999</v>
      </c>
      <c r="J6" s="128"/>
      <c r="L6" s="129">
        <f>H6-H7</f>
        <v>33965.399999999994</v>
      </c>
    </row>
    <row r="7" spans="1:9" s="83" customFormat="1" ht="18.75">
      <c r="A7" s="118" t="s">
        <v>79</v>
      </c>
      <c r="B7" s="69">
        <f>196242.1+19125.4</f>
        <v>215367.5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</f>
        <v>202507.30000000002</v>
      </c>
      <c r="E7" s="120">
        <f>D7/D6*100</f>
        <v>34.783635550720184</v>
      </c>
      <c r="F7" s="120">
        <f>D7/B7*100</f>
        <v>94.02871835351203</v>
      </c>
      <c r="G7" s="120">
        <f>D7/C7*100</f>
        <v>67.73739176623982</v>
      </c>
      <c r="H7" s="119">
        <f t="shared" si="1"/>
        <v>12860.199999999983</v>
      </c>
      <c r="I7" s="119">
        <f t="shared" si="2"/>
        <v>96452.1</v>
      </c>
    </row>
    <row r="8" spans="1:9" s="128" customFormat="1" ht="18">
      <c r="A8" s="88" t="s">
        <v>3</v>
      </c>
      <c r="B8" s="31">
        <v>506246.9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</f>
        <v>482448.9000000001</v>
      </c>
      <c r="E8" s="92">
        <f>D8/D6*100</f>
        <v>82.86776185078686</v>
      </c>
      <c r="F8" s="92">
        <f>D8/B8*100</f>
        <v>95.2991317082633</v>
      </c>
      <c r="G8" s="92">
        <f t="shared" si="0"/>
        <v>66.13942818224668</v>
      </c>
      <c r="H8" s="90">
        <f t="shared" si="1"/>
        <v>23797.99999999994</v>
      </c>
      <c r="I8" s="90">
        <f t="shared" si="2"/>
        <v>246993.29999999987</v>
      </c>
    </row>
    <row r="9" spans="1:9" s="128" customFormat="1" ht="18">
      <c r="A9" s="88" t="s">
        <v>2</v>
      </c>
      <c r="B9" s="31">
        <v>51.7</v>
      </c>
      <c r="C9" s="32">
        <v>104.9</v>
      </c>
      <c r="D9" s="33">
        <f>16.3+0.9+0.3+8.7+9.7+0.3+0.4+0.4+0.1+0.5</f>
        <v>37.599999999999994</v>
      </c>
      <c r="E9" s="109">
        <f>D9/D6*100</f>
        <v>0.006458358275020597</v>
      </c>
      <c r="F9" s="92">
        <f>D9/B9*100</f>
        <v>72.7272727272727</v>
      </c>
      <c r="G9" s="92">
        <f t="shared" si="0"/>
        <v>35.84366062917063</v>
      </c>
      <c r="H9" s="90">
        <f t="shared" si="1"/>
        <v>14.100000000000009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26997.6+1503.2</f>
        <v>28500.8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</f>
        <v>26208</v>
      </c>
      <c r="E10" s="92">
        <f>D10/D6*100</f>
        <v>4.501613129567549</v>
      </c>
      <c r="F10" s="92">
        <f aca="true" t="shared" si="3" ref="F10:F41">D10/B10*100</f>
        <v>91.95531353505866</v>
      </c>
      <c r="G10" s="92">
        <f t="shared" si="0"/>
        <v>60.331769483284916</v>
      </c>
      <c r="H10" s="90">
        <f t="shared" si="1"/>
        <v>2292.7999999999993</v>
      </c>
      <c r="I10" s="90">
        <f t="shared" si="2"/>
        <v>17231.800000000003</v>
      </c>
    </row>
    <row r="11" spans="1:9" s="128" customFormat="1" ht="18">
      <c r="A11" s="88" t="s">
        <v>0</v>
      </c>
      <c r="B11" s="31">
        <f>61585.5-1300-900+5</f>
        <v>59390.5</v>
      </c>
      <c r="C11" s="32">
        <f>98224.3+33+0.3</f>
        <v>98257.6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</f>
        <v>50311.899999999965</v>
      </c>
      <c r="E11" s="92">
        <f>D11/D6*100</f>
        <v>8.64181584300555</v>
      </c>
      <c r="F11" s="92">
        <f t="shared" si="3"/>
        <v>84.71371684023534</v>
      </c>
      <c r="G11" s="92">
        <f t="shared" si="0"/>
        <v>51.204079887967914</v>
      </c>
      <c r="H11" s="90">
        <f t="shared" si="1"/>
        <v>9078.600000000035</v>
      </c>
      <c r="I11" s="90">
        <f t="shared" si="2"/>
        <v>47945.70000000004</v>
      </c>
    </row>
    <row r="12" spans="1:9" s="128" customFormat="1" ht="18">
      <c r="A12" s="88" t="s">
        <v>12</v>
      </c>
      <c r="B12" s="31">
        <v>8350.8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</f>
        <v>7308.3</v>
      </c>
      <c r="E12" s="92">
        <f>D12/D6*100</f>
        <v>1.2553090367375808</v>
      </c>
      <c r="F12" s="92">
        <f t="shared" si="3"/>
        <v>87.51616611582125</v>
      </c>
      <c r="G12" s="92">
        <f t="shared" si="0"/>
        <v>56.26313560953078</v>
      </c>
      <c r="H12" s="90">
        <f t="shared" si="1"/>
        <v>1042.499999999999</v>
      </c>
      <c r="I12" s="90">
        <f t="shared" si="2"/>
        <v>5681.2</v>
      </c>
    </row>
    <row r="13" spans="1:9" s="128" customFormat="1" ht="18.75" thickBot="1">
      <c r="A13" s="88" t="s">
        <v>25</v>
      </c>
      <c r="B13" s="32">
        <f>B6-B8-B9-B10-B11-B12</f>
        <v>26476.2</v>
      </c>
      <c r="C13" s="32">
        <f>C6-C8-C9-C10-C11-C12</f>
        <v>37704.19999999998</v>
      </c>
      <c r="D13" s="32">
        <f>D6-D8-D9-D10-D11-D12</f>
        <v>15876.599999999995</v>
      </c>
      <c r="E13" s="92">
        <f>D13/D6*100</f>
        <v>2.7270417816274466</v>
      </c>
      <c r="F13" s="92">
        <f t="shared" si="3"/>
        <v>59.96555396922517</v>
      </c>
      <c r="G13" s="92">
        <f t="shared" si="0"/>
        <v>42.108306236440505</v>
      </c>
      <c r="H13" s="90">
        <f aca="true" t="shared" si="4" ref="H13:H44">B13-D13</f>
        <v>10599.600000000006</v>
      </c>
      <c r="I13" s="90">
        <f t="shared" si="2"/>
        <v>21827.599999999988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284941.3-3772.4-400-431.4-3379.2</f>
        <v>276958.29999999993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</f>
        <v>264820.63699999993</v>
      </c>
      <c r="E18" s="3">
        <f>D18/D156*100</f>
        <v>17.093828078428675</v>
      </c>
      <c r="F18" s="3">
        <f>D18/B18*100</f>
        <v>95.61751245584624</v>
      </c>
      <c r="G18" s="3">
        <f t="shared" si="0"/>
        <v>63.285120504788516</v>
      </c>
      <c r="H18" s="149">
        <f t="shared" si="4"/>
        <v>12137.663</v>
      </c>
      <c r="I18" s="36">
        <f t="shared" si="2"/>
        <v>153635.76300000015</v>
      </c>
      <c r="J18" s="128"/>
      <c r="L18" s="129">
        <f>H18-H19</f>
        <v>11171.399999999994</v>
      </c>
    </row>
    <row r="19" spans="1:9" s="83" customFormat="1" ht="18.75">
      <c r="A19" s="118" t="s">
        <v>80</v>
      </c>
      <c r="B19" s="69">
        <v>136804.3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</f>
        <v>135838.03699999998</v>
      </c>
      <c r="E19" s="120">
        <f>D19/D18*100</f>
        <v>51.294354752269555</v>
      </c>
      <c r="F19" s="120">
        <f t="shared" si="3"/>
        <v>99.29368959893804</v>
      </c>
      <c r="G19" s="120">
        <f t="shared" si="0"/>
        <v>66.14755393192604</v>
      </c>
      <c r="H19" s="119">
        <f t="shared" si="4"/>
        <v>966.2630000000063</v>
      </c>
      <c r="I19" s="119">
        <f t="shared" si="2"/>
        <v>69518.06300000005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678.3</v>
      </c>
      <c r="C24" s="32">
        <v>999.4</v>
      </c>
      <c r="D24" s="33">
        <f>199.2+100.3+88.2+109-0.1+47.3</f>
        <v>543.9</v>
      </c>
      <c r="E24" s="92">
        <f>D24/D18*100</f>
        <v>0.20538429563553995</v>
      </c>
      <c r="F24" s="92">
        <f t="shared" si="3"/>
        <v>80.18575851393189</v>
      </c>
      <c r="G24" s="92">
        <f t="shared" si="0"/>
        <v>54.42265359215529</v>
      </c>
      <c r="H24" s="90">
        <f t="shared" si="4"/>
        <v>134.39999999999998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276279.99999999994</v>
      </c>
      <c r="C25" s="32">
        <f>C18-C24</f>
        <v>417457.00000000006</v>
      </c>
      <c r="D25" s="32">
        <f>D18-D24</f>
        <v>264276.7369999999</v>
      </c>
      <c r="E25" s="92">
        <f>D25/D18*100</f>
        <v>99.79461570436445</v>
      </c>
      <c r="F25" s="92">
        <f t="shared" si="3"/>
        <v>95.6553992326625</v>
      </c>
      <c r="G25" s="92">
        <f t="shared" si="0"/>
        <v>63.306337419183265</v>
      </c>
      <c r="H25" s="90">
        <f t="shared" si="4"/>
        <v>12003.263000000035</v>
      </c>
      <c r="I25" s="90">
        <f t="shared" si="2"/>
        <v>153180.26300000015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f>15370+16.9+150.8+2385.4</f>
        <v>17923.1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</f>
        <v>16327.099999999999</v>
      </c>
      <c r="E33" s="3">
        <f>D33/D156*100</f>
        <v>1.0538930937595807</v>
      </c>
      <c r="F33" s="3">
        <f>D33/B33*100</f>
        <v>91.09529043524837</v>
      </c>
      <c r="G33" s="148">
        <f t="shared" si="0"/>
        <v>59.95116398619372</v>
      </c>
      <c r="H33" s="149">
        <f t="shared" si="4"/>
        <v>1596</v>
      </c>
      <c r="I33" s="36">
        <f t="shared" si="2"/>
        <v>10906.900000000001</v>
      </c>
      <c r="J33" s="128"/>
    </row>
    <row r="34" spans="1:9" s="128" customFormat="1" ht="18">
      <c r="A34" s="88" t="s">
        <v>3</v>
      </c>
      <c r="B34" s="31">
        <f>8465+1249</f>
        <v>9714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95.5+254.3+520.9+145.6+77.4+290.2+14+629.4+494.6+11.4+607.6+26.4+384.9+103.2+27.1+151.5+461.6+16.4+14.3-0.2+100.6+400.5+180.4+615.1+100.6+396.6-0.2+1.8+800.9+4.3+120.7+413.3+43-0.1+786.7+17.9+0.2+81.8+304.4+80.3+581.7+14.2</f>
        <v>9370.800000000001</v>
      </c>
      <c r="E34" s="92">
        <f>D34/D33*100</f>
        <v>57.3941483790753</v>
      </c>
      <c r="F34" s="92">
        <f t="shared" si="3"/>
        <v>96.46695491043855</v>
      </c>
      <c r="G34" s="92">
        <f t="shared" si="0"/>
        <v>65.73324541590091</v>
      </c>
      <c r="H34" s="90">
        <f t="shared" si="4"/>
        <v>343.1999999999989</v>
      </c>
      <c r="I34" s="90">
        <f t="shared" si="2"/>
        <v>4884.999999999998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0.333800858695053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f>1183.4+18.4</f>
        <v>1201.8000000000002</v>
      </c>
      <c r="C36" s="32">
        <f>2087.8+0.3</f>
        <v>2088.1000000000004</v>
      </c>
      <c r="D36" s="33">
        <f>1.1+273.8+98.4+76.8+0.5+2.1+0.3+6.6+52.2+342.8+0.4+3.3+12.2+25.8+7.1+2.1+70+0.1+0.7+1.9+15.3+8.2+0.2+4.2</f>
        <v>1006.1000000000003</v>
      </c>
      <c r="E36" s="92">
        <f>D36/D33*100</f>
        <v>6.162147595102623</v>
      </c>
      <c r="F36" s="92">
        <f t="shared" si="3"/>
        <v>83.71609252787486</v>
      </c>
      <c r="G36" s="92">
        <f t="shared" si="0"/>
        <v>48.182558306594515</v>
      </c>
      <c r="H36" s="90">
        <f t="shared" si="4"/>
        <v>195.69999999999993</v>
      </c>
      <c r="I36" s="90">
        <f t="shared" si="2"/>
        <v>1082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1.5440586509545484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0.5738924854995683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6323.699999999998</v>
      </c>
      <c r="C39" s="31">
        <f>C33-C34-C36-C37-C35-C38</f>
        <v>9548.5</v>
      </c>
      <c r="D39" s="31">
        <f>D33-D34-D36-D37-D35-D38</f>
        <v>5549.899999999997</v>
      </c>
      <c r="E39" s="92">
        <f>D39/D33*100</f>
        <v>33.99195203067291</v>
      </c>
      <c r="F39" s="92">
        <f t="shared" si="3"/>
        <v>87.76349289181964</v>
      </c>
      <c r="G39" s="92">
        <f t="shared" si="0"/>
        <v>58.12326543436138</v>
      </c>
      <c r="H39" s="90">
        <f t="shared" si="4"/>
        <v>773.8000000000011</v>
      </c>
      <c r="I39" s="90">
        <f t="shared" si="2"/>
        <v>3998.600000000003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f>569+84</f>
        <v>653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</f>
        <v>477.80000000000007</v>
      </c>
      <c r="E43" s="3">
        <f>D43/D156*100</f>
        <v>0.0308413692693943</v>
      </c>
      <c r="F43" s="3">
        <f>D43/B43*100</f>
        <v>73.16998468606432</v>
      </c>
      <c r="G43" s="3">
        <f t="shared" si="0"/>
        <v>48.75012753800633</v>
      </c>
      <c r="H43" s="149">
        <f t="shared" si="4"/>
        <v>175.19999999999993</v>
      </c>
      <c r="I43" s="36">
        <f t="shared" si="2"/>
        <v>502.29999999999995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f>11155.1</f>
        <v>11155.1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</f>
        <v>10653.4</v>
      </c>
      <c r="E46" s="3">
        <f>D46/D156*100</f>
        <v>0.6876631297081733</v>
      </c>
      <c r="F46" s="3">
        <f>D46/B46*100</f>
        <v>95.50250558040716</v>
      </c>
      <c r="G46" s="3">
        <f aca="true" t="shared" si="5" ref="G46:G78">D46/C46*100</f>
        <v>63.034885922559894</v>
      </c>
      <c r="H46" s="36">
        <f>B46-D46</f>
        <v>501.7000000000007</v>
      </c>
      <c r="I46" s="36">
        <f aca="true" t="shared" si="6" ref="I46:I79">C46-D46</f>
        <v>6247.399999999996</v>
      </c>
      <c r="J46" s="128"/>
      <c r="K46" s="128"/>
    </row>
    <row r="47" spans="1:9" s="128" customFormat="1" ht="18">
      <c r="A47" s="88" t="s">
        <v>3</v>
      </c>
      <c r="B47" s="31">
        <f>8260.5+1813.1</f>
        <v>10073.6</v>
      </c>
      <c r="C47" s="108">
        <v>15270.9</v>
      </c>
      <c r="D47" s="90">
        <f>332.5+633.1+14.1+510.1+691.2+14.1+377.2-0.1+896.5+425+839.9+7+383.6+0.2+7+859.2+449.3+922.6+495.5+806.4+418.5+708</f>
        <v>9790.9</v>
      </c>
      <c r="E47" s="92">
        <f>D47/D46*100</f>
        <v>91.90399309140744</v>
      </c>
      <c r="F47" s="92">
        <f aca="true" t="shared" si="7" ref="F47:F76">D47/B47*100</f>
        <v>97.1936547013977</v>
      </c>
      <c r="G47" s="92">
        <f t="shared" si="5"/>
        <v>64.1147542057115</v>
      </c>
      <c r="H47" s="90">
        <f aca="true" t="shared" si="8" ref="H47:H76">B47-D47</f>
        <v>282.7000000000007</v>
      </c>
      <c r="I47" s="90">
        <f t="shared" si="6"/>
        <v>5480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0.008448007208966152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0.5369177915031821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v>714</v>
      </c>
      <c r="C50" s="108">
        <v>998.4</v>
      </c>
      <c r="D50" s="90">
        <f>13.9+43.7+37.9+3.3+112.6+65.7+2.1+15.6+56.1+2.7+37.7+0.1+42+5.3+1.3+11.6+20.1+0.2+56.8+3.9+4+8.4+3</f>
        <v>548</v>
      </c>
      <c r="E50" s="92">
        <f>D50/D46*100</f>
        <v>5.143897722792723</v>
      </c>
      <c r="F50" s="92">
        <f t="shared" si="7"/>
        <v>76.75070028011206</v>
      </c>
      <c r="G50" s="92">
        <f t="shared" si="5"/>
        <v>54.88782051282052</v>
      </c>
      <c r="H50" s="90">
        <f t="shared" si="8"/>
        <v>166</v>
      </c>
      <c r="I50" s="90">
        <f t="shared" si="6"/>
        <v>450.4</v>
      </c>
    </row>
    <row r="51" spans="1:9" s="128" customFormat="1" ht="18.75" thickBot="1">
      <c r="A51" s="88" t="s">
        <v>25</v>
      </c>
      <c r="B51" s="32">
        <f>B46-B47-B50-B49-B48</f>
        <v>304.20000000000005</v>
      </c>
      <c r="C51" s="108">
        <f>C46-C47-C50-C49-C48</f>
        <v>523.599999999996</v>
      </c>
      <c r="D51" s="108">
        <f>D46-D47-D50-D49-D48</f>
        <v>256.40000000000003</v>
      </c>
      <c r="E51" s="92">
        <f>D51/D46*100</f>
        <v>2.406743387087691</v>
      </c>
      <c r="F51" s="92">
        <f t="shared" si="7"/>
        <v>84.28665351742275</v>
      </c>
      <c r="G51" s="92">
        <f t="shared" si="5"/>
        <v>48.968678380443464</v>
      </c>
      <c r="H51" s="90">
        <f t="shared" si="8"/>
        <v>47.80000000000001</v>
      </c>
      <c r="I51" s="90">
        <f t="shared" si="6"/>
        <v>267.199999999996</v>
      </c>
    </row>
    <row r="52" spans="1:10" ht="18.75" thickBot="1">
      <c r="A52" s="18" t="s">
        <v>4</v>
      </c>
      <c r="B52" s="34">
        <f>32326-400-152.8+3466.4</f>
        <v>35239.6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</f>
        <v>27829.700000000008</v>
      </c>
      <c r="E52" s="3">
        <f>D52/D156*100</f>
        <v>1.796370980235376</v>
      </c>
      <c r="F52" s="3">
        <f>D52/B52*100</f>
        <v>78.97280332353378</v>
      </c>
      <c r="G52" s="3">
        <f t="shared" si="5"/>
        <v>54.086772988583945</v>
      </c>
      <c r="H52" s="36">
        <f>B52-D52</f>
        <v>7409.8999999999905</v>
      </c>
      <c r="I52" s="36">
        <f t="shared" si="6"/>
        <v>23624.099999999995</v>
      </c>
      <c r="J52" s="128"/>
    </row>
    <row r="53" spans="1:9" s="128" customFormat="1" ht="18">
      <c r="A53" s="88" t="s">
        <v>3</v>
      </c>
      <c r="B53" s="31">
        <f>17012.5+1304.1</f>
        <v>18316.6</v>
      </c>
      <c r="C53" s="32">
        <v>25959.9</v>
      </c>
      <c r="D53" s="33">
        <f>721.7+980.4+865.2+984.4+270.7+792.3+9.9+66.7+1210.9+835.2+313.7+945.1+17.3+739.5+1432.2+7.4+1036.6-0.2+2347.5+193+703.6+685.6+56.7+0.1+432.5+932.1</f>
        <v>16580.100000000002</v>
      </c>
      <c r="E53" s="92">
        <f>D53/D52*100</f>
        <v>59.57699867407841</v>
      </c>
      <c r="F53" s="92">
        <f t="shared" si="7"/>
        <v>90.51952873349859</v>
      </c>
      <c r="G53" s="92">
        <f t="shared" si="5"/>
        <v>63.86811967688628</v>
      </c>
      <c r="H53" s="90">
        <f t="shared" si="8"/>
        <v>1736.4999999999964</v>
      </c>
      <c r="I53" s="90">
        <f t="shared" si="6"/>
        <v>9379.8</v>
      </c>
    </row>
    <row r="54" spans="1:9" s="128" customFormat="1" ht="18">
      <c r="A54" s="88" t="s">
        <v>2</v>
      </c>
      <c r="B54" s="31"/>
      <c r="C54" s="32">
        <v>16.4</v>
      </c>
      <c r="D54" s="33"/>
      <c r="E54" s="92">
        <f>D54/D52*100</f>
        <v>0</v>
      </c>
      <c r="F54" s="92" t="e">
        <f>D54/B54*100</f>
        <v>#DIV/0!</v>
      </c>
      <c r="G54" s="92">
        <f t="shared" si="5"/>
        <v>0</v>
      </c>
      <c r="H54" s="90">
        <f t="shared" si="8"/>
        <v>0</v>
      </c>
      <c r="I54" s="90">
        <f t="shared" si="6"/>
        <v>16.4</v>
      </c>
    </row>
    <row r="55" spans="1:9" s="128" customFormat="1" ht="18">
      <c r="A55" s="88" t="s">
        <v>1</v>
      </c>
      <c r="B55" s="31">
        <f>2435.3+275.3-15</f>
        <v>2695.6000000000004</v>
      </c>
      <c r="C55" s="32">
        <f>4332.1-250-15</f>
        <v>4067.1000000000004</v>
      </c>
      <c r="D55" s="33">
        <f>3.2+7.6+9.6+11.4+10.1+24.7+6.6+7.8+2.3+6.6+70.1+102.1+3.2+185.8+105+116.2+245+84+7.3+8.9+0.2+110.8+122.9-0.1+5.4+43.7+5.9+0.4+35.5+6.2+57+84.1+17.2+1.6+53.4+53</f>
        <v>1614.7000000000005</v>
      </c>
      <c r="E55" s="92">
        <f>D55/D52*100</f>
        <v>5.80207476185514</v>
      </c>
      <c r="F55" s="92">
        <f t="shared" si="7"/>
        <v>59.90132067072267</v>
      </c>
      <c r="G55" s="92">
        <f t="shared" si="5"/>
        <v>39.701507216444156</v>
      </c>
      <c r="H55" s="90">
        <f t="shared" si="8"/>
        <v>1080.8999999999999</v>
      </c>
      <c r="I55" s="90">
        <f t="shared" si="6"/>
        <v>2452.3999999999996</v>
      </c>
    </row>
    <row r="56" spans="1:9" s="128" customFormat="1" ht="18">
      <c r="A56" s="88" t="s">
        <v>0</v>
      </c>
      <c r="B56" s="31">
        <f>804.1+35.3</f>
        <v>839.4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</f>
        <v>711.8999999999999</v>
      </c>
      <c r="E56" s="92">
        <f>D56/D52*100</f>
        <v>2.5580584770946135</v>
      </c>
      <c r="F56" s="92">
        <f t="shared" si="7"/>
        <v>84.81057898498926</v>
      </c>
      <c r="G56" s="92">
        <f t="shared" si="5"/>
        <v>50.4357066950053</v>
      </c>
      <c r="H56" s="90">
        <f t="shared" si="8"/>
        <v>127.50000000000011</v>
      </c>
      <c r="I56" s="90">
        <f t="shared" si="6"/>
        <v>699.6000000000001</v>
      </c>
    </row>
    <row r="57" spans="1:9" s="128" customFormat="1" ht="18">
      <c r="A57" s="88" t="s">
        <v>12</v>
      </c>
      <c r="B57" s="31">
        <f>2079.7-152.8+700.8</f>
        <v>2627.7</v>
      </c>
      <c r="C57" s="32">
        <f>4640-960</f>
        <v>3680</v>
      </c>
      <c r="D57" s="32">
        <f>227+242+245+245+245+245+245</f>
        <v>1694</v>
      </c>
      <c r="E57" s="92">
        <f>D57/D52*100</f>
        <v>6.087022138219239</v>
      </c>
      <c r="F57" s="92">
        <f>D57/B57*100</f>
        <v>64.46702439395669</v>
      </c>
      <c r="G57" s="92">
        <f>D57/C57*100</f>
        <v>46.03260869565217</v>
      </c>
      <c r="H57" s="90">
        <f t="shared" si="8"/>
        <v>933.6999999999998</v>
      </c>
      <c r="I57" s="90">
        <f t="shared" si="6"/>
        <v>1986</v>
      </c>
    </row>
    <row r="58" spans="1:9" s="128" customFormat="1" ht="18.75" thickBot="1">
      <c r="A58" s="88" t="s">
        <v>25</v>
      </c>
      <c r="B58" s="32">
        <f>B52-B53-B56-B55-B54-B57</f>
        <v>10760.3</v>
      </c>
      <c r="C58" s="32">
        <f>C52-C53-C56-C55-C54-C57</f>
        <v>16318.900000000001</v>
      </c>
      <c r="D58" s="32">
        <f>D52-D53-D56-D55-D54-D57</f>
        <v>7229.0000000000055</v>
      </c>
      <c r="E58" s="92">
        <f>D58/D52*100</f>
        <v>25.975845948752603</v>
      </c>
      <c r="F58" s="92">
        <f t="shared" si="7"/>
        <v>67.18214176184685</v>
      </c>
      <c r="G58" s="92">
        <f t="shared" si="5"/>
        <v>44.298328931484384</v>
      </c>
      <c r="H58" s="90">
        <f>B58-D58</f>
        <v>3531.299999999994</v>
      </c>
      <c r="I58" s="90">
        <f>C58-D58</f>
        <v>9089.899999999996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7410.6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</f>
        <v>6911.599999999998</v>
      </c>
      <c r="E60" s="3">
        <f>D60/D156*100</f>
        <v>0.44613480084207946</v>
      </c>
      <c r="F60" s="3">
        <f>D60/B60*100</f>
        <v>93.26640218066011</v>
      </c>
      <c r="G60" s="3">
        <f t="shared" si="5"/>
        <v>78.06277459650546</v>
      </c>
      <c r="H60" s="36">
        <f>B60-D60</f>
        <v>499.00000000000273</v>
      </c>
      <c r="I60" s="36">
        <f t="shared" si="6"/>
        <v>1942.300000000002</v>
      </c>
      <c r="J60" s="128"/>
    </row>
    <row r="61" spans="1:9" s="128" customFormat="1" ht="18">
      <c r="A61" s="88" t="s">
        <v>3</v>
      </c>
      <c r="B61" s="156">
        <f>2015.9+445.3</f>
        <v>2461.2000000000003</v>
      </c>
      <c r="C61" s="108">
        <v>3626.9</v>
      </c>
      <c r="D61" s="90">
        <f>80.6+106+88.7+4.1+50.7+38.1+180.6+95.6+203.1+54.2+59.8+86.2+109.7+0.1+49.5+34.4+208.9+102+130.9+94.1+121.3+0.1+99.9+81.5-0.1+45.9+52.2+180.8</f>
        <v>2358.9000000000005</v>
      </c>
      <c r="E61" s="92">
        <f>D61/D60*100</f>
        <v>34.12957925805893</v>
      </c>
      <c r="F61" s="92">
        <f t="shared" si="7"/>
        <v>95.84349098000976</v>
      </c>
      <c r="G61" s="92">
        <f t="shared" si="5"/>
        <v>65.03901403402355</v>
      </c>
      <c r="H61" s="90">
        <f t="shared" si="8"/>
        <v>102.29999999999973</v>
      </c>
      <c r="I61" s="90">
        <f t="shared" si="6"/>
        <v>1267.9999999999995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6.039122634411715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324.1</v>
      </c>
      <c r="C63" s="108">
        <v>475.3</v>
      </c>
      <c r="D63" s="90">
        <f>9.6+44+118.7+0.1+30.8+0.2+16.8+0.1+13.9+3.1+7+0.8+0.9+4.6+0.1+0.5+0.8</f>
        <v>252.00000000000003</v>
      </c>
      <c r="E63" s="92">
        <f>D63/D60*100</f>
        <v>3.6460443312691724</v>
      </c>
      <c r="F63" s="92">
        <f t="shared" si="7"/>
        <v>77.7537796976242</v>
      </c>
      <c r="G63" s="92">
        <f t="shared" si="5"/>
        <v>53.01914580265096</v>
      </c>
      <c r="H63" s="90">
        <f t="shared" si="8"/>
        <v>72.1</v>
      </c>
      <c r="I63" s="90">
        <f t="shared" si="6"/>
        <v>223.29999999999998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49.686035071474066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771.1999999999994</v>
      </c>
      <c r="C65" s="108">
        <f>C60-C61-C63-C64-C62</f>
        <v>897.5999999999999</v>
      </c>
      <c r="D65" s="108">
        <f>D60-D61-D63-D64-D62</f>
        <v>449.19999999999675</v>
      </c>
      <c r="E65" s="92">
        <f>D65/D60*100</f>
        <v>6.499218704786112</v>
      </c>
      <c r="F65" s="92">
        <f t="shared" si="7"/>
        <v>58.24688796680461</v>
      </c>
      <c r="G65" s="92">
        <f t="shared" si="5"/>
        <v>50.04456327985704</v>
      </c>
      <c r="H65" s="90">
        <f t="shared" si="8"/>
        <v>322.0000000000026</v>
      </c>
      <c r="I65" s="90">
        <f t="shared" si="6"/>
        <v>448.40000000000316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317.5</v>
      </c>
      <c r="C70" s="35">
        <f>C71+C72</f>
        <v>408.6</v>
      </c>
      <c r="D70" s="36">
        <f>D71+D72</f>
        <v>248.3</v>
      </c>
      <c r="E70" s="27">
        <f>D70/D156*100</f>
        <v>0.01602744242275137</v>
      </c>
      <c r="F70" s="3">
        <f>D70/B70*100</f>
        <v>78.20472440944883</v>
      </c>
      <c r="G70" s="3">
        <f t="shared" si="5"/>
        <v>60.76847772883015</v>
      </c>
      <c r="H70" s="36">
        <f>B70-D70</f>
        <v>69.19999999999999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100.2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30.938123752495006</v>
      </c>
      <c r="G72" s="92">
        <f t="shared" si="5"/>
        <v>16.20491374803973</v>
      </c>
      <c r="H72" s="90">
        <f t="shared" si="8"/>
        <v>69.2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150098.3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</f>
        <v>142068.99999999997</v>
      </c>
      <c r="E92" s="3">
        <f>D92/D156*100</f>
        <v>9.170369382029255</v>
      </c>
      <c r="F92" s="3">
        <f aca="true" t="shared" si="11" ref="F92:F98">D92/B92*100</f>
        <v>94.65063894794277</v>
      </c>
      <c r="G92" s="3">
        <f t="shared" si="9"/>
        <v>65.4025852778467</v>
      </c>
      <c r="H92" s="36">
        <f aca="true" t="shared" si="12" ref="H92:H98">B92-D92</f>
        <v>8029.3000000000175</v>
      </c>
      <c r="I92" s="36">
        <f t="shared" si="10"/>
        <v>75153.30000000002</v>
      </c>
      <c r="J92" s="128"/>
    </row>
    <row r="93" spans="1:9" s="128" customFormat="1" ht="21.75" customHeight="1">
      <c r="A93" s="88" t="s">
        <v>3</v>
      </c>
      <c r="B93" s="107">
        <f>141469.3-123.4+34.3</f>
        <v>141380.19999999998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</f>
        <v>135065.8</v>
      </c>
      <c r="E93" s="92">
        <f>D93/D92*100</f>
        <v>95.07056430326111</v>
      </c>
      <c r="F93" s="92">
        <f t="shared" si="11"/>
        <v>95.53374517789621</v>
      </c>
      <c r="G93" s="92">
        <f t="shared" si="9"/>
        <v>66.2767241095889</v>
      </c>
      <c r="H93" s="90">
        <f t="shared" si="12"/>
        <v>6314.399999999994</v>
      </c>
      <c r="I93" s="90">
        <f t="shared" si="10"/>
        <v>68724.90000000002</v>
      </c>
    </row>
    <row r="94" spans="1:9" s="128" customFormat="1" ht="18">
      <c r="A94" s="88" t="s">
        <v>23</v>
      </c>
      <c r="B94" s="107">
        <f>1491.9+63.4</f>
        <v>1555.3000000000002</v>
      </c>
      <c r="C94" s="108">
        <v>2704.7</v>
      </c>
      <c r="D94" s="90">
        <f>10+5.9+981.6+112.5+3.5+4.3+3+9.2+59.4+52.3+6.5+0.9+71.3+23+0.6+0.1+65.9+1.9-0.1+0.8</f>
        <v>1412.6000000000001</v>
      </c>
      <c r="E94" s="92">
        <f>D94/D92*100</f>
        <v>0.994305583906412</v>
      </c>
      <c r="F94" s="92">
        <f t="shared" si="11"/>
        <v>90.82492123706038</v>
      </c>
      <c r="G94" s="92">
        <f t="shared" si="9"/>
        <v>52.22760380079122</v>
      </c>
      <c r="H94" s="90">
        <f t="shared" si="12"/>
        <v>142.70000000000005</v>
      </c>
      <c r="I94" s="90">
        <f t="shared" si="10"/>
        <v>1292.0999999999997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7162.800000000006</v>
      </c>
      <c r="C96" s="108">
        <f>C92-C93-C94-C95</f>
        <v>10726.899999999976</v>
      </c>
      <c r="D96" s="108">
        <f>D92-D93-D94-D95</f>
        <v>5590.599999999982</v>
      </c>
      <c r="E96" s="92">
        <f>D96/D92*100</f>
        <v>3.9351301128324847</v>
      </c>
      <c r="F96" s="92">
        <f t="shared" si="11"/>
        <v>78.05048305132041</v>
      </c>
      <c r="G96" s="92">
        <f>D96/C96*100</f>
        <v>52.11757357670898</v>
      </c>
      <c r="H96" s="90">
        <f t="shared" si="12"/>
        <v>1572.2000000000235</v>
      </c>
      <c r="I96" s="90">
        <f>C96-D96</f>
        <v>5136.299999999994</v>
      </c>
    </row>
    <row r="97" spans="1:10" ht="18.75">
      <c r="A97" s="74" t="s">
        <v>10</v>
      </c>
      <c r="B97" s="82">
        <f>69783.4-48+304.2+6237.2-430</f>
        <v>75846.79999999999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</f>
        <v>65985.79999999999</v>
      </c>
      <c r="E97" s="73">
        <f>D97/D156*100</f>
        <v>4.259297664998741</v>
      </c>
      <c r="F97" s="75">
        <f t="shared" si="11"/>
        <v>86.99879230237795</v>
      </c>
      <c r="G97" s="72">
        <f>D97/C97*100</f>
        <v>49.39829658981082</v>
      </c>
      <c r="H97" s="76">
        <f t="shared" si="12"/>
        <v>9861</v>
      </c>
      <c r="I97" s="78">
        <f>C97-D97</f>
        <v>67593.30000000002</v>
      </c>
      <c r="J97" s="128"/>
    </row>
    <row r="98" spans="1:9" s="128" customFormat="1" ht="18.75" thickBot="1">
      <c r="A98" s="110" t="s">
        <v>81</v>
      </c>
      <c r="B98" s="111">
        <f>10970.9-457.8</f>
        <v>10513.1</v>
      </c>
      <c r="C98" s="112">
        <f>16376.6</f>
        <v>16376.6</v>
      </c>
      <c r="D98" s="113">
        <f>101+2.6+598.7+1.6+2603.8+3.8+0.7+1149.5+2.1+129.3+1033.7+0.3+164.7+461.5+907.4+167.5+105.4+83.7+677.1+35.3+47.9+8.7+62.1+35+659.5+47.8+1.1+7.6+40</f>
        <v>9139.4</v>
      </c>
      <c r="E98" s="114">
        <f>D98/D97*100</f>
        <v>13.850555725625819</v>
      </c>
      <c r="F98" s="115">
        <f t="shared" si="11"/>
        <v>86.93344494012231</v>
      </c>
      <c r="G98" s="116">
        <f>D98/C98*100</f>
        <v>55.807676807151665</v>
      </c>
      <c r="H98" s="117">
        <f t="shared" si="12"/>
        <v>1373.7000000000007</v>
      </c>
      <c r="I98" s="106">
        <f>C98-D98</f>
        <v>7237.200000000001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49629.5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</f>
        <v>42282.700000000004</v>
      </c>
      <c r="E104" s="16">
        <f>D104/D156*100</f>
        <v>2.729293353719168</v>
      </c>
      <c r="F104" s="16">
        <f>D104/B104*100</f>
        <v>85.19670760334076</v>
      </c>
      <c r="G104" s="16">
        <f aca="true" t="shared" si="13" ref="G104:G154">D104/C104*100</f>
        <v>57.32516804637782</v>
      </c>
      <c r="H104" s="60">
        <f aca="true" t="shared" si="14" ref="H104:H154">B104-D104</f>
        <v>7346.799999999996</v>
      </c>
      <c r="I104" s="60">
        <f aca="true" t="shared" si="15" ref="I104:I154">C104-D104</f>
        <v>31476.700000000004</v>
      </c>
      <c r="J104" s="83"/>
    </row>
    <row r="105" spans="1:9" s="128" customFormat="1" ht="18.75" customHeight="1">
      <c r="A105" s="88" t="s">
        <v>3</v>
      </c>
      <c r="B105" s="99">
        <f>10543.8+2317.2-B61-B47</f>
        <v>326.1999999999989</v>
      </c>
      <c r="C105" s="100">
        <v>543.6</v>
      </c>
      <c r="D105" s="100">
        <f>19.3+40.4+6+27+20.5+24.8+29.6+28.9+1.8+28.7</f>
        <v>227</v>
      </c>
      <c r="E105" s="101">
        <f>D105/D104*100</f>
        <v>0.536862593921391</v>
      </c>
      <c r="F105" s="92">
        <f>D105/B105*100</f>
        <v>69.58920907418785</v>
      </c>
      <c r="G105" s="101">
        <f>D105/C105*100</f>
        <v>41.75864606328182</v>
      </c>
      <c r="H105" s="100">
        <f t="shared" si="14"/>
        <v>99.19999999999891</v>
      </c>
      <c r="I105" s="100">
        <f t="shared" si="15"/>
        <v>316.6</v>
      </c>
    </row>
    <row r="106" spans="1:9" s="128" customFormat="1" ht="18">
      <c r="A106" s="102" t="s">
        <v>46</v>
      </c>
      <c r="B106" s="89">
        <v>44319.2</v>
      </c>
      <c r="C106" s="90">
        <f>65554.9+7.6+15.1-60.1+45.6-3+37.7+7.6-160-18.9</f>
        <v>65426.50000000001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</f>
        <v>38267.66000000002</v>
      </c>
      <c r="E106" s="92">
        <f>D106/D104*100</f>
        <v>90.50429608326813</v>
      </c>
      <c r="F106" s="92">
        <f aca="true" t="shared" si="16" ref="F106:F154">D106/B106*100</f>
        <v>86.34555677900327</v>
      </c>
      <c r="G106" s="92">
        <f t="shared" si="13"/>
        <v>58.48954169946431</v>
      </c>
      <c r="H106" s="90">
        <f t="shared" si="14"/>
        <v>6051.539999999979</v>
      </c>
      <c r="I106" s="90">
        <f t="shared" si="15"/>
        <v>27158.83999999999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4984.100000000006</v>
      </c>
      <c r="C108" s="104">
        <f>C104-C105-C106</f>
        <v>7789.299999999996</v>
      </c>
      <c r="D108" s="104">
        <f>D104-D105-D106</f>
        <v>3788.0399999999863</v>
      </c>
      <c r="E108" s="105">
        <f>D108/D104*100</f>
        <v>8.958841322810478</v>
      </c>
      <c r="F108" s="105">
        <f t="shared" si="16"/>
        <v>76.00248791155839</v>
      </c>
      <c r="G108" s="105">
        <f t="shared" si="13"/>
        <v>48.63132759041234</v>
      </c>
      <c r="H108" s="166">
        <f t="shared" si="14"/>
        <v>1196.0600000000195</v>
      </c>
      <c r="I108" s="106">
        <f t="shared" si="15"/>
        <v>4001.2600000000093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398964.39999999997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389420.5197900001</v>
      </c>
      <c r="E109" s="63">
        <f>D109/D156*100</f>
        <v>25.13658863943672</v>
      </c>
      <c r="F109" s="63">
        <f>D109/B109*100</f>
        <v>97.60783663655207</v>
      </c>
      <c r="G109" s="63">
        <f t="shared" si="13"/>
        <v>61.12430776366514</v>
      </c>
      <c r="H109" s="62">
        <f t="shared" si="14"/>
        <v>9543.880209999857</v>
      </c>
      <c r="I109" s="62">
        <f t="shared" si="15"/>
        <v>247675.4802099999</v>
      </c>
      <c r="J109" s="96"/>
    </row>
    <row r="110" spans="1:9" s="128" customFormat="1" ht="37.5">
      <c r="A110" s="143" t="s">
        <v>50</v>
      </c>
      <c r="B110" s="144">
        <v>2774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1.8+140.5+138.5+0.9+33+80.9+13.3+0.1+53.3+109+1.4+124.9+19.8+24.9+9+3.6+91.3+61.8+18.7+59+14.7+34.7+0.1+2.2+3.8+2.1+129.5+15.3+0.5-0.3+15.6+0.9+145.2+1.4+33.8+73+26.3+109.9+61.1+11.7+3.2-0.1+0.6+6.1+144.6+0.5+9.9+3.3</f>
        <v>1835.2999999999997</v>
      </c>
      <c r="E110" s="85">
        <f>D110/D109*100</f>
        <v>0.4712900082896783</v>
      </c>
      <c r="F110" s="85">
        <f t="shared" si="16"/>
        <v>66.1607786589762</v>
      </c>
      <c r="G110" s="85">
        <f t="shared" si="13"/>
        <v>36.826052932560145</v>
      </c>
      <c r="H110" s="86">
        <f t="shared" si="14"/>
        <v>938.7000000000003</v>
      </c>
      <c r="I110" s="86">
        <f t="shared" si="15"/>
        <v>3148.4</v>
      </c>
    </row>
    <row r="111" spans="1:9" s="128" customFormat="1" ht="18">
      <c r="A111" s="88" t="s">
        <v>23</v>
      </c>
      <c r="B111" s="89">
        <v>1272.7</v>
      </c>
      <c r="C111" s="90">
        <v>2332.2</v>
      </c>
      <c r="D111" s="91">
        <f>2.4+138.5+0.9+33.1+80.9+53.3+1.8+1.1+124.9+24.9+6.2+38.5+59+14.7+33.9+0.6+2.3+35.5+60-0.1+40.7</f>
        <v>753.1</v>
      </c>
      <c r="E111" s="92">
        <f>D111/D110*100</f>
        <v>41.03416335204055</v>
      </c>
      <c r="F111" s="92">
        <f t="shared" si="16"/>
        <v>59.17341085880412</v>
      </c>
      <c r="G111" s="92">
        <f t="shared" si="13"/>
        <v>32.29139867935855</v>
      </c>
      <c r="H111" s="90">
        <f t="shared" si="14"/>
        <v>519.6</v>
      </c>
      <c r="I111" s="90">
        <f t="shared" si="15"/>
        <v>1579.1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100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100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f>3469.6+435.3</f>
        <v>3904.9</v>
      </c>
      <c r="C116" s="86">
        <v>5785.2</v>
      </c>
      <c r="D116" s="84">
        <f>187.7+10.4+531.5+38.4+44.9+0.1+53.3+13.7+14.6+4.3+409.7+22.6+33.2+12.9+10.1+431+0.1+44.6+9.7+432.7+17.3+360.1+31.7-0.1+261.4+138.4+11.8+4.8+433.3</f>
        <v>3564.2000000000003</v>
      </c>
      <c r="E116" s="85">
        <f>D116/D109*100</f>
        <v>0.9152573680303339</v>
      </c>
      <c r="F116" s="85">
        <f t="shared" si="16"/>
        <v>91.27506466234732</v>
      </c>
      <c r="G116" s="85">
        <f t="shared" si="13"/>
        <v>61.60893313973589</v>
      </c>
      <c r="H116" s="86">
        <f t="shared" si="14"/>
        <v>340.6999999999998</v>
      </c>
      <c r="I116" s="86">
        <f t="shared" si="15"/>
        <v>2220.9999999999995</v>
      </c>
      <c r="K116" s="150">
        <f>H124+H143</f>
        <v>300.5999999999997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f>606.2+21.2</f>
        <v>627.4000000000001</v>
      </c>
      <c r="C121" s="93">
        <v>1024.8</v>
      </c>
      <c r="D121" s="84">
        <f>80.5+0.2+38.8+80.5+0.8+10+10.3+80.5+16.8+0.3+4+80.5+10+10+0.3+0.8+80.5+1.1+1.1+0.2+0.4</f>
        <v>507.6000000000001</v>
      </c>
      <c r="E121" s="85">
        <f>D121/D109*100</f>
        <v>0.1303475225891357</v>
      </c>
      <c r="F121" s="85">
        <f t="shared" si="16"/>
        <v>80.90532355753905</v>
      </c>
      <c r="G121" s="85">
        <f t="shared" si="13"/>
        <v>49.53161592505856</v>
      </c>
      <c r="H121" s="86">
        <f t="shared" si="14"/>
        <v>119.80000000000001</v>
      </c>
      <c r="I121" s="86">
        <f t="shared" si="15"/>
        <v>517.1999999999998</v>
      </c>
    </row>
    <row r="122" spans="1:9" s="97" customFormat="1" ht="18">
      <c r="A122" s="147" t="s">
        <v>41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79.3144208037825</v>
      </c>
      <c r="F122" s="92">
        <f t="shared" si="16"/>
        <v>100</v>
      </c>
      <c r="G122" s="92">
        <f t="shared" si="13"/>
        <v>55.554022354077546</v>
      </c>
      <c r="H122" s="90">
        <f t="shared" si="14"/>
        <v>0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195+40</f>
        <v>235</v>
      </c>
      <c r="C123" s="93">
        <v>347</v>
      </c>
      <c r="D123" s="84">
        <f>34.5+13.8+4.3+21.7</f>
        <v>74.3</v>
      </c>
      <c r="E123" s="85">
        <f>D123/D109*100</f>
        <v>0.01907963145857522</v>
      </c>
      <c r="F123" s="85">
        <f t="shared" si="16"/>
        <v>31.617021276595743</v>
      </c>
      <c r="G123" s="85">
        <f t="shared" si="13"/>
        <v>21.412103746397694</v>
      </c>
      <c r="H123" s="86">
        <f t="shared" si="14"/>
        <v>160.7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f>841.8-600+100</f>
        <v>341.79999999999995</v>
      </c>
      <c r="C124" s="93">
        <f>86+920</f>
        <v>1006</v>
      </c>
      <c r="D124" s="94">
        <f>54.4+15.9+15.6+12.1</f>
        <v>97.99999999999999</v>
      </c>
      <c r="E124" s="95">
        <f>D124/D109*100</f>
        <v>0.02516559734778427</v>
      </c>
      <c r="F124" s="85">
        <f t="shared" si="16"/>
        <v>28.671737858396725</v>
      </c>
      <c r="G124" s="85">
        <f t="shared" si="13"/>
        <v>9.741550695825048</v>
      </c>
      <c r="H124" s="86">
        <f t="shared" si="14"/>
        <v>243.79999999999995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f>14461.8-150-6.2</f>
        <v>14305.599999999999</v>
      </c>
      <c r="C127" s="159">
        <f>6156.2+17413.5-8000</f>
        <v>15569.7</v>
      </c>
      <c r="D127" s="160">
        <f>871.9+408.1+585.9+900.5+901.8+879.7+893+994.8+887.7+852.4+0.1+789.7+988.1+754.9+941.7+788.3+949.6+785.4</f>
        <v>14173.6</v>
      </c>
      <c r="E127" s="161">
        <f>D127/D109*100</f>
        <v>3.639664393556686</v>
      </c>
      <c r="F127" s="162">
        <f t="shared" si="16"/>
        <v>99.07728442008725</v>
      </c>
      <c r="G127" s="162">
        <f t="shared" si="13"/>
        <v>91.03322478917384</v>
      </c>
      <c r="H127" s="163">
        <f t="shared" si="14"/>
        <v>131.99999999999818</v>
      </c>
      <c r="I127" s="163">
        <f t="shared" si="15"/>
        <v>1396.1000000000004</v>
      </c>
      <c r="J127" s="164"/>
      <c r="K127" s="165">
        <f>H110+H113+H116+H121+H123+H129+H130+H132+H134+H138+H139+H141+H150+H70+H128</f>
        <v>3078.6653799999995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639.5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0.019156669001476605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361.3999999999999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f>382+236.9</f>
        <v>618.9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0.055544068431895285</v>
      </c>
      <c r="F132" s="85">
        <f t="shared" si="16"/>
        <v>34.949103247697536</v>
      </c>
      <c r="G132" s="85">
        <f t="shared" si="13"/>
        <v>21.545970714214565</v>
      </c>
      <c r="H132" s="86">
        <f t="shared" si="14"/>
        <v>402.59999999999997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f>181.7+202.6</f>
        <v>384.29999999999995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24.486078584439248</v>
      </c>
      <c r="G133" s="92">
        <f t="shared" si="13"/>
        <v>17.007048617386594</v>
      </c>
      <c r="H133" s="90">
        <f t="shared" si="14"/>
        <v>290.19999999999993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75+25</f>
        <v>100</v>
      </c>
      <c r="C134" s="93">
        <v>250</v>
      </c>
      <c r="D134" s="94">
        <v>9.6</v>
      </c>
      <c r="E134" s="95">
        <f>D134/D109*100</f>
        <v>0.0024652013728441737</v>
      </c>
      <c r="F134" s="85">
        <f t="shared" si="16"/>
        <v>9.6</v>
      </c>
      <c r="G134" s="85">
        <f t="shared" si="13"/>
        <v>3.84</v>
      </c>
      <c r="H134" s="86">
        <f t="shared" si="14"/>
        <v>90.4</v>
      </c>
      <c r="I134" s="86">
        <f t="shared" si="15"/>
        <v>240.4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1729.7-700+247.1-100-180</f>
        <v>996.8</v>
      </c>
      <c r="C138" s="93">
        <v>2964.5</v>
      </c>
      <c r="D138" s="94">
        <f>203+174+113.5+76.2+55.5+17.2+64.2+103.9+40.9+12.5+10.2+13.3+28.3+0.1+10.1+19.9+1.8+49.6</f>
        <v>994.2</v>
      </c>
      <c r="E138" s="95">
        <f>D138/D109*100</f>
        <v>0.25530241717517477</v>
      </c>
      <c r="F138" s="85">
        <f t="shared" si="16"/>
        <v>99.73916532905298</v>
      </c>
      <c r="G138" s="85">
        <f t="shared" si="13"/>
        <v>33.536852757631976</v>
      </c>
      <c r="H138" s="86">
        <f t="shared" si="14"/>
        <v>2.599999999999909</v>
      </c>
      <c r="I138" s="86">
        <f t="shared" si="15"/>
        <v>1970.3</v>
      </c>
    </row>
    <row r="139" spans="1:9" s="96" customFormat="1" ht="39" customHeight="1">
      <c r="A139" s="145" t="s">
        <v>52</v>
      </c>
      <c r="B139" s="146">
        <f>190+40</f>
        <v>230</v>
      </c>
      <c r="C139" s="93">
        <v>350</v>
      </c>
      <c r="D139" s="94">
        <f>30+1.3+13+17.4+1.4+1.8-0.1+8+1.1+2.9</f>
        <v>76.8</v>
      </c>
      <c r="E139" s="95">
        <f>D139/D109*100</f>
        <v>0.01972161098275339</v>
      </c>
      <c r="F139" s="85">
        <f t="shared" si="16"/>
        <v>33.391304347826086</v>
      </c>
      <c r="G139" s="85">
        <f t="shared" si="13"/>
        <v>21.942857142857143</v>
      </c>
      <c r="H139" s="86">
        <f t="shared" si="14"/>
        <v>153.2</v>
      </c>
      <c r="I139" s="86">
        <f t="shared" si="15"/>
        <v>273.2</v>
      </c>
    </row>
    <row r="140" spans="1:9" s="97" customFormat="1" ht="18">
      <c r="A140" s="88" t="s">
        <v>86</v>
      </c>
      <c r="B140" s="89">
        <f>65+15</f>
        <v>80</v>
      </c>
      <c r="C140" s="90">
        <v>110</v>
      </c>
      <c r="D140" s="91">
        <f>1.3+0.4+1.4+1.8-0.1+1.1+2.9</f>
        <v>8.8</v>
      </c>
      <c r="E140" s="92"/>
      <c r="F140" s="85">
        <f>D140/B140*100</f>
        <v>11.000000000000002</v>
      </c>
      <c r="G140" s="92">
        <f>D140/C140*100</f>
        <v>8</v>
      </c>
      <c r="H140" s="90">
        <f>B140-D140</f>
        <v>71.2</v>
      </c>
      <c r="I140" s="90">
        <f>C140-D140</f>
        <v>101.2</v>
      </c>
    </row>
    <row r="141" spans="1:9" s="96" customFormat="1" ht="40.5" customHeight="1">
      <c r="A141" s="145" t="s">
        <v>82</v>
      </c>
      <c r="B141" s="146">
        <f>372.9+41.1</f>
        <v>414</v>
      </c>
      <c r="C141" s="93">
        <v>642.9</v>
      </c>
      <c r="D141" s="94">
        <f>3.4+29.8+0.5+0.6+0.5+7+95+1+3.4+1.6+21.9+0.5+0.2+14.5+1.1+4.5+5.3+14.7+1.23462+4.7+11.1+4.8+0.3+0.3+3.4+16.7+0.7</f>
        <v>248.73462</v>
      </c>
      <c r="E141" s="95">
        <f>D141/D109*100</f>
        <v>0.0638730131976952</v>
      </c>
      <c r="F141" s="85">
        <f>D141/B141*100</f>
        <v>60.08082608695652</v>
      </c>
      <c r="G141" s="85">
        <f>D141/C141*100</f>
        <v>38.68947270181988</v>
      </c>
      <c r="H141" s="86">
        <f t="shared" si="14"/>
        <v>165.26538</v>
      </c>
      <c r="I141" s="86">
        <f t="shared" si="15"/>
        <v>394.16537999999997</v>
      </c>
    </row>
    <row r="142" spans="1:9" s="97" customFormat="1" ht="18">
      <c r="A142" s="88" t="s">
        <v>23</v>
      </c>
      <c r="B142" s="89">
        <f>302.9+31.1</f>
        <v>334</v>
      </c>
      <c r="C142" s="90">
        <v>524.9</v>
      </c>
      <c r="D142" s="91">
        <f>0.4+29.8+0.5+0.6+95+0.7+18.5+0.5+14.5+1.1+4.5+14.8+1.2+11.1+4.8+0.2+15.2+0.7</f>
        <v>214.09999999999997</v>
      </c>
      <c r="E142" s="92">
        <f>D142/D141*100</f>
        <v>86.07567374416958</v>
      </c>
      <c r="F142" s="92">
        <f t="shared" si="16"/>
        <v>64.10179640718562</v>
      </c>
      <c r="G142" s="92">
        <f>D142/C142*100</f>
        <v>40.78872166126881</v>
      </c>
      <c r="H142" s="90">
        <f t="shared" si="14"/>
        <v>119.90000000000003</v>
      </c>
      <c r="I142" s="90">
        <f t="shared" si="15"/>
        <v>310.8</v>
      </c>
    </row>
    <row r="143" spans="1:9" s="96" customFormat="1" ht="18.75">
      <c r="A143" s="145" t="s">
        <v>94</v>
      </c>
      <c r="B143" s="146">
        <v>1635.3</v>
      </c>
      <c r="C143" s="93">
        <v>2262.8</v>
      </c>
      <c r="D143" s="94">
        <f>33.6+100.1+61.4+1.9+88.9+76.4+140.9+13.9+60.1+109.3+18.6+51.1+12+15.7+91.6+92.9+151.5+21.4+117.4-12.2+110+74.1+147.9</f>
        <v>1578.5000000000002</v>
      </c>
      <c r="E143" s="95">
        <f>D143/D109*100</f>
        <v>0.40534587156609675</v>
      </c>
      <c r="F143" s="85">
        <f t="shared" si="16"/>
        <v>96.52663119916836</v>
      </c>
      <c r="G143" s="85">
        <f t="shared" si="13"/>
        <v>69.75870602793</v>
      </c>
      <c r="H143" s="86">
        <f t="shared" si="14"/>
        <v>56.79999999999973</v>
      </c>
      <c r="I143" s="86">
        <f t="shared" si="15"/>
        <v>684.3</v>
      </c>
    </row>
    <row r="144" spans="1:9" s="97" customFormat="1" ht="18">
      <c r="A144" s="147" t="s">
        <v>41</v>
      </c>
      <c r="B144" s="89">
        <f>1086.2+221.7</f>
        <v>1307.9</v>
      </c>
      <c r="C144" s="90">
        <v>1867.4</v>
      </c>
      <c r="D144" s="91">
        <f>33.6+99.1+51.9+81.4+59+82.2+5.6+57.6+68.8+16.1-2.2+47.6+70.6+83.7+114.7+20.9+115.1+0.1+80.1+70.3+136.9</f>
        <v>1293.1000000000001</v>
      </c>
      <c r="E144" s="92">
        <f>D144/D143*100</f>
        <v>81.91954387076338</v>
      </c>
      <c r="F144" s="92">
        <f t="shared" si="16"/>
        <v>98.86841501643858</v>
      </c>
      <c r="G144" s="92">
        <f t="shared" si="13"/>
        <v>69.24601049587662</v>
      </c>
      <c r="H144" s="90">
        <f t="shared" si="14"/>
        <v>14.799999999999955</v>
      </c>
      <c r="I144" s="90">
        <f t="shared" si="15"/>
        <v>574.3</v>
      </c>
    </row>
    <row r="145" spans="1:9" s="97" customFormat="1" ht="18">
      <c r="A145" s="88" t="s">
        <v>23</v>
      </c>
      <c r="B145" s="89">
        <f>29.1+0.6</f>
        <v>29.700000000000003</v>
      </c>
      <c r="C145" s="90">
        <v>48</v>
      </c>
      <c r="D145" s="91">
        <f>9.3+7.4+6+0.1+2.5+0.1+0.1+1+0.5+0.4</f>
        <v>27.400000000000006</v>
      </c>
      <c r="E145" s="92">
        <f>D145/D143*100</f>
        <v>1.735825150459297</v>
      </c>
      <c r="F145" s="92">
        <f t="shared" si="16"/>
        <v>92.25589225589226</v>
      </c>
      <c r="G145" s="92">
        <f>D145/C145*100</f>
        <v>57.08333333333334</v>
      </c>
      <c r="H145" s="90">
        <f t="shared" si="14"/>
        <v>2.299999999999997</v>
      </c>
      <c r="I145" s="90">
        <f t="shared" si="15"/>
        <v>20.599999999999994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0.24677692909408863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131836.8-1348</f>
        <v>130488.79999999999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</f>
        <v>126498.40000000001</v>
      </c>
      <c r="E148" s="95">
        <f>D148/D109*100</f>
        <v>32.483753056519944</v>
      </c>
      <c r="F148" s="85">
        <f t="shared" si="16"/>
        <v>96.94195976972738</v>
      </c>
      <c r="G148" s="85">
        <f t="shared" si="13"/>
        <v>85.95807774921533</v>
      </c>
      <c r="H148" s="86">
        <f t="shared" si="14"/>
        <v>3990.3999999999796</v>
      </c>
      <c r="I148" s="86">
        <f t="shared" si="15"/>
        <v>20664.499999999985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34</v>
      </c>
      <c r="C150" s="93">
        <v>50</v>
      </c>
      <c r="D150" s="94">
        <f>1+0.7+0.3+0.3+0.3+0.3</f>
        <v>2.8999999999999995</v>
      </c>
      <c r="E150" s="95">
        <f>D150/D111*100</f>
        <v>0.3850750232372858</v>
      </c>
      <c r="F150" s="85">
        <f>D150/B150*100</f>
        <v>8.52941176470588</v>
      </c>
      <c r="G150" s="85">
        <f>D150/C150*100</f>
        <v>5.799999999999999</v>
      </c>
      <c r="H150" s="86">
        <f>B150-D150</f>
        <v>31.1</v>
      </c>
      <c r="I150" s="86">
        <f>C150-D150</f>
        <v>47.1</v>
      </c>
    </row>
    <row r="151" spans="1:9" s="96" customFormat="1" ht="18.75">
      <c r="A151" s="145" t="s">
        <v>96</v>
      </c>
      <c r="B151" s="155">
        <v>55.3</v>
      </c>
      <c r="C151" s="93">
        <v>93.9</v>
      </c>
      <c r="D151" s="94">
        <f>29.5+25.8</f>
        <v>55.3</v>
      </c>
      <c r="E151" s="95">
        <f>D151/D109*100</f>
        <v>0.014200587074821126</v>
      </c>
      <c r="F151" s="85">
        <f t="shared" si="16"/>
        <v>100</v>
      </c>
      <c r="G151" s="85">
        <f t="shared" si="13"/>
        <v>58.89243876464323</v>
      </c>
      <c r="H151" s="86">
        <f t="shared" si="14"/>
        <v>0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f>11245.6-1300</f>
        <v>9945.6</v>
      </c>
      <c r="C152" s="93">
        <f>509.5+13731.5</f>
        <v>14241</v>
      </c>
      <c r="D152" s="94">
        <f>469.6+898.6+871.8+55+430.7+600.4+36+430.7-0.1+542+60.6+1510.5+423.8+77.7+719.5+23.4+379.6+98.9+504+871.8+627.7+0.1+17.7+73.7</f>
        <v>9723.700000000003</v>
      </c>
      <c r="E152" s="95">
        <f>D152/D109*100</f>
        <v>2.49696651970051</v>
      </c>
      <c r="F152" s="85">
        <f t="shared" si="16"/>
        <v>97.76886261261264</v>
      </c>
      <c r="G152" s="85">
        <f t="shared" si="13"/>
        <v>68.27961519556213</v>
      </c>
      <c r="H152" s="86">
        <f t="shared" si="14"/>
        <v>221.89999999999782</v>
      </c>
      <c r="I152" s="86">
        <f t="shared" si="15"/>
        <v>4517.299999999997</v>
      </c>
    </row>
    <row r="153" spans="1:9" s="96" customFormat="1" ht="19.5" customHeight="1">
      <c r="A153" s="145" t="s">
        <v>48</v>
      </c>
      <c r="B153" s="146">
        <f>178130+5472.4+1300+431.4</f>
        <v>185333.8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</f>
        <v>185331.08516999998</v>
      </c>
      <c r="E153" s="95">
        <f>D153/D109*100</f>
        <v>47.591504749144214</v>
      </c>
      <c r="F153" s="85">
        <f t="shared" si="16"/>
        <v>99.99853516735749</v>
      </c>
      <c r="G153" s="85">
        <f t="shared" si="13"/>
        <v>50.152009835505716</v>
      </c>
      <c r="H153" s="86">
        <f t="shared" si="14"/>
        <v>2.714830000011716</v>
      </c>
      <c r="I153" s="86">
        <f>C153-D153</f>
        <v>184207.61483000003</v>
      </c>
    </row>
    <row r="154" spans="1:9" s="96" customFormat="1" ht="18.75">
      <c r="A154" s="145" t="s">
        <v>97</v>
      </c>
      <c r="B154" s="146">
        <f>39622.8+5660.4</f>
        <v>45283.200000000004</v>
      </c>
      <c r="C154" s="93">
        <v>67925</v>
      </c>
      <c r="D154" s="94">
        <f>1886.8+1886.8+1886.8+1886.8+1886.8+1886.8+1886.8+1886.8+1886.8+1886.8+1886.8+1886.8+1886.8+1886.8+1886.8+1886.8+1886.8+1886.8+1886.8+1886.8+1886.8+1886.8+1886.8</f>
        <v>43396.40000000001</v>
      </c>
      <c r="E154" s="95">
        <f>D154/D109*100</f>
        <v>11.143840089218221</v>
      </c>
      <c r="F154" s="85">
        <f t="shared" si="16"/>
        <v>95.83333333333334</v>
      </c>
      <c r="G154" s="85">
        <f t="shared" si="13"/>
        <v>63.888700772911314</v>
      </c>
      <c r="H154" s="86">
        <f t="shared" si="14"/>
        <v>1886.7999999999956</v>
      </c>
      <c r="I154" s="86">
        <f t="shared" si="15"/>
        <v>24528.59999999999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432429.3197900001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1653313.0999999999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1549217.8567899999</v>
      </c>
      <c r="E156" s="25">
        <v>100</v>
      </c>
      <c r="F156" s="3">
        <f>D156/B156*100</f>
        <v>93.70383968953007</v>
      </c>
      <c r="G156" s="3">
        <f aca="true" t="shared" si="17" ref="G156:G162">D156/C156*100</f>
        <v>61.77147547953482</v>
      </c>
      <c r="H156" s="36">
        <f>B156-D156</f>
        <v>104095.24320999999</v>
      </c>
      <c r="I156" s="36">
        <f aca="true" t="shared" si="18" ref="I156:I162">C156-D156</f>
        <v>958764.7432100002</v>
      </c>
      <c r="K156" s="129">
        <f>D156-114199.9-202905.8-214631.3-204053.8-222765.5+11.7-231911.7-174259.3</f>
        <v>184502.25678999978</v>
      </c>
    </row>
    <row r="157" spans="1:9" ht="18.75">
      <c r="A157" s="15" t="s">
        <v>5</v>
      </c>
      <c r="B157" s="47">
        <f>B8+B20+B34+B53+B61+B93+B117+B122+B47+B144+B135+B105</f>
        <v>690229.1999999998</v>
      </c>
      <c r="C157" s="47">
        <f>C8+C20+C34+C53+C61+C93+C117+C122+C47+C144+C135+C105</f>
        <v>995482.1</v>
      </c>
      <c r="D157" s="47">
        <f>D8+D20+D34+D53+D61+D93+D117+D122+D47+D144+D135+D105</f>
        <v>657538.1</v>
      </c>
      <c r="E157" s="6">
        <f>D157/D156*100</f>
        <v>42.44323011886964</v>
      </c>
      <c r="F157" s="6">
        <f aca="true" t="shared" si="19" ref="F157:F162">D157/B157*100</f>
        <v>95.2637326847372</v>
      </c>
      <c r="G157" s="6">
        <f t="shared" si="17"/>
        <v>66.05222735798063</v>
      </c>
      <c r="H157" s="48">
        <f aca="true" t="shared" si="20" ref="H157:H162">B157-D157</f>
        <v>32691.09999999986</v>
      </c>
      <c r="I157" s="57">
        <f t="shared" si="18"/>
        <v>337944</v>
      </c>
    </row>
    <row r="158" spans="1:9" ht="18.75">
      <c r="A158" s="15" t="s">
        <v>0</v>
      </c>
      <c r="B158" s="86">
        <f>B11+B23+B36+B56+B63+B94+B50+B145+B111+B114+B98+B142+B131</f>
        <v>76174.6</v>
      </c>
      <c r="C158" s="86">
        <f>C11+C23+C36+C56+C63+C94+C50+C145+C111+C114+C98+C142+C131</f>
        <v>125217.3</v>
      </c>
      <c r="D158" s="86">
        <f>D11+D23+D36+D56+D63+D94+D50+D145+D111+D114+D98+D142+D131</f>
        <v>64376.49999999996</v>
      </c>
      <c r="E158" s="6">
        <f>D158/D156*100</f>
        <v>4.155419440709839</v>
      </c>
      <c r="F158" s="6">
        <f t="shared" si="19"/>
        <v>84.51176638932132</v>
      </c>
      <c r="G158" s="6">
        <f t="shared" si="17"/>
        <v>51.41182568223397</v>
      </c>
      <c r="H158" s="48">
        <f>B158-D158</f>
        <v>11798.100000000042</v>
      </c>
      <c r="I158" s="57">
        <f t="shared" si="18"/>
        <v>60840.80000000004</v>
      </c>
    </row>
    <row r="159" spans="1:9" ht="18.75">
      <c r="A159" s="15" t="s">
        <v>1</v>
      </c>
      <c r="B159" s="135">
        <f>B22+B10+B55+B49+B62+B35+B126</f>
        <v>31733.300000000003</v>
      </c>
      <c r="C159" s="135">
        <f>C22+C10+C55+C49+C62+C35+C126</f>
        <v>48087.700000000004</v>
      </c>
      <c r="D159" s="135">
        <f>D22+D10+D55+D49+D62+D35+D126</f>
        <v>28351.800000000003</v>
      </c>
      <c r="E159" s="6">
        <f>D159/D156*100</f>
        <v>1.8300718569527281</v>
      </c>
      <c r="F159" s="6">
        <f t="shared" si="19"/>
        <v>89.3440014117662</v>
      </c>
      <c r="G159" s="6">
        <f t="shared" si="17"/>
        <v>58.95852785639571</v>
      </c>
      <c r="H159" s="48">
        <f t="shared" si="20"/>
        <v>3381.5</v>
      </c>
      <c r="I159" s="57">
        <f t="shared" si="18"/>
        <v>19735.9</v>
      </c>
    </row>
    <row r="160" spans="1:9" ht="21" customHeight="1">
      <c r="A160" s="15" t="s">
        <v>12</v>
      </c>
      <c r="B160" s="135">
        <f>B12+B24+B106+B64+B38+B95+B133+B57+B140+B120+B44+B73</f>
        <v>60011.99999999999</v>
      </c>
      <c r="C160" s="135">
        <f>C12+C24+C106+C64+C38+C95+C133+C57+C140+C120+C44+C73</f>
        <v>87421.40000000002</v>
      </c>
      <c r="D160" s="135">
        <f>D12+D24+D106+D64+D38+D95+D133+D57+D140+D120+D44+D73</f>
        <v>51468.66000000001</v>
      </c>
      <c r="E160" s="6">
        <f>D160/D156*100</f>
        <v>3.3222351378419925</v>
      </c>
      <c r="F160" s="6">
        <f>D160/B160*100</f>
        <v>85.76394721055792</v>
      </c>
      <c r="G160" s="6">
        <f t="shared" si="17"/>
        <v>58.8742115774856</v>
      </c>
      <c r="H160" s="48">
        <f>B160-D160</f>
        <v>8543.339999999982</v>
      </c>
      <c r="I160" s="57">
        <f t="shared" si="18"/>
        <v>35952.74000000001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0.002485124982988029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795111.4</v>
      </c>
      <c r="C162" s="59">
        <f>C156-C157-C158-C159-C160-C161</f>
        <v>1251651.2000000002</v>
      </c>
      <c r="D162" s="59">
        <f>D156-D157-D158-D159-D160-D161</f>
        <v>747444.2967899998</v>
      </c>
      <c r="E162" s="28">
        <f>D162/D156*100</f>
        <v>48.246558320642805</v>
      </c>
      <c r="F162" s="28">
        <f t="shared" si="19"/>
        <v>94.00497801817454</v>
      </c>
      <c r="G162" s="28">
        <f t="shared" si="17"/>
        <v>59.716660423447024</v>
      </c>
      <c r="H162" s="80">
        <f t="shared" si="20"/>
        <v>47667.103210000205</v>
      </c>
      <c r="I162" s="80">
        <f t="shared" si="18"/>
        <v>504206.90321000037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1549217.8567899999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1549217.8567899999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2019-08-16T11:33:46Z</cp:lastPrinted>
  <dcterms:created xsi:type="dcterms:W3CDTF">2000-06-20T04:48:00Z</dcterms:created>
  <dcterms:modified xsi:type="dcterms:W3CDTF">2019-08-28T12:16:01Z</dcterms:modified>
  <cp:category/>
  <cp:version/>
  <cp:contentType/>
  <cp:contentStatus/>
</cp:coreProperties>
</file>